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https://phdisegutl-my.sharepoint.com/personal/jcneves_iseg_ulisboa_pt/Documents/Teaching-English/ISEG-CorporateFinance-Master Finance/CIA-2020/Slides-CIA-2020/"/>
    </mc:Choice>
  </mc:AlternateContent>
  <xr:revisionPtr revIDLastSave="0" documentId="8_{D9DD6660-603C-4471-BBD2-26298263B1A4}" xr6:coauthVersionLast="36" xr6:coauthVersionMax="36" xr10:uidLastSave="{00000000-0000-0000-0000-000000000000}"/>
  <bookViews>
    <workbookView xWindow="0" yWindow="0" windowWidth="19200" windowHeight="6930" activeTab="4" xr2:uid="{5EB1D13D-2296-4991-97BA-122F024AB07A}"/>
  </bookViews>
  <sheets>
    <sheet name="Pay-out constant" sheetId="1" r:id="rId1"/>
    <sheet name="Regular dividend" sheetId="2" r:id="rId2"/>
    <sheet name="Regular + Extra" sheetId="3" r:id="rId3"/>
    <sheet name="Residual" sheetId="4" r:id="rId4"/>
    <sheet name="Share Repurchase"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H13" i="3"/>
  <c r="H12" i="3"/>
  <c r="H11" i="3"/>
  <c r="H10" i="3"/>
  <c r="H9" i="3"/>
  <c r="G14" i="3"/>
  <c r="G13" i="3"/>
  <c r="G12" i="3"/>
  <c r="G11" i="3"/>
  <c r="G10" i="3"/>
  <c r="G9" i="3"/>
  <c r="F12" i="3"/>
  <c r="F10" i="3"/>
  <c r="F9" i="3"/>
  <c r="E10" i="3"/>
  <c r="E11" i="3" s="1"/>
  <c r="E9" i="3"/>
  <c r="F11" i="3" l="1"/>
  <c r="E12" i="3" s="1"/>
  <c r="E13" i="3" s="1"/>
  <c r="B28" i="5"/>
  <c r="B27" i="5"/>
  <c r="B26" i="5"/>
  <c r="B25" i="5"/>
  <c r="B24" i="5"/>
  <c r="B23" i="5"/>
  <c r="B22" i="5"/>
  <c r="B17" i="5"/>
  <c r="B16" i="5"/>
  <c r="B7" i="5"/>
  <c r="B10" i="5" s="1"/>
  <c r="D14" i="4"/>
  <c r="C14" i="4"/>
  <c r="B14" i="4"/>
  <c r="C13" i="4"/>
  <c r="D13" i="4"/>
  <c r="B13" i="4"/>
  <c r="D12" i="4"/>
  <c r="C12" i="4"/>
  <c r="D10" i="4"/>
  <c r="D11" i="4" s="1"/>
  <c r="C10" i="4"/>
  <c r="C11" i="4" s="1"/>
  <c r="B10" i="4"/>
  <c r="B11" i="4" s="1"/>
  <c r="B12" i="4" s="1"/>
  <c r="B24" i="3"/>
  <c r="C15" i="3"/>
  <c r="B15" i="3"/>
  <c r="D14" i="3"/>
  <c r="D13" i="3"/>
  <c r="D12" i="3"/>
  <c r="D11" i="3"/>
  <c r="D10" i="3"/>
  <c r="D9" i="3"/>
  <c r="E25" i="2"/>
  <c r="D25" i="2"/>
  <c r="C25" i="2"/>
  <c r="B25" i="2"/>
  <c r="C26" i="2"/>
  <c r="B26" i="2"/>
  <c r="D23" i="2"/>
  <c r="C23" i="2"/>
  <c r="B23" i="2"/>
  <c r="B11" i="2"/>
  <c r="C22" i="2"/>
  <c r="C21" i="2"/>
  <c r="C20" i="2"/>
  <c r="C19" i="2"/>
  <c r="C18" i="2"/>
  <c r="C17" i="2"/>
  <c r="C16" i="2"/>
  <c r="C15" i="2"/>
  <c r="C14" i="2"/>
  <c r="C13" i="2"/>
  <c r="C12" i="2"/>
  <c r="C11" i="2"/>
  <c r="D22" i="2"/>
  <c r="D21" i="2"/>
  <c r="D20" i="2"/>
  <c r="D19" i="2"/>
  <c r="D18" i="2"/>
  <c r="D17" i="2"/>
  <c r="D16" i="2"/>
  <c r="D15" i="2"/>
  <c r="D14" i="2"/>
  <c r="D13" i="2"/>
  <c r="D12" i="2"/>
  <c r="D11" i="2"/>
  <c r="F13" i="3" l="1"/>
  <c r="E14" i="3" s="1"/>
  <c r="F14" i="3" s="1"/>
  <c r="G16" i="1"/>
  <c r="F16" i="1"/>
  <c r="G19" i="1"/>
  <c r="F19" i="1"/>
  <c r="E19" i="1"/>
  <c r="D19" i="1"/>
  <c r="C19" i="1"/>
  <c r="B19" i="1"/>
  <c r="G18" i="1"/>
  <c r="F18" i="1"/>
  <c r="E18" i="1"/>
  <c r="D18" i="1"/>
  <c r="C18" i="1"/>
  <c r="B18" i="1"/>
  <c r="C17" i="1"/>
  <c r="B17" i="1"/>
  <c r="E16" i="1"/>
  <c r="D16" i="1"/>
  <c r="F11" i="1"/>
  <c r="F12" i="1"/>
  <c r="F13" i="1"/>
  <c r="F14" i="1"/>
  <c r="F15" i="1"/>
  <c r="B10" i="1"/>
  <c r="C10" i="1" s="1"/>
  <c r="E10" i="1" s="1"/>
  <c r="B11" i="1"/>
  <c r="C11" i="1" s="1"/>
  <c r="E11" i="1" s="1"/>
  <c r="B12" i="1"/>
  <c r="C12" i="1" s="1"/>
  <c r="E12" i="1" s="1"/>
  <c r="B13" i="1"/>
  <c r="C13" i="1" s="1"/>
  <c r="E13" i="1" s="1"/>
  <c r="B15" i="1"/>
  <c r="C15" i="1" s="1"/>
  <c r="B14" i="1"/>
  <c r="C14" i="1" s="1"/>
  <c r="F15" i="3" l="1"/>
  <c r="G11" i="1"/>
  <c r="G13" i="1"/>
  <c r="G12" i="1"/>
  <c r="E15" i="1"/>
  <c r="E14" i="1"/>
  <c r="G14" i="1" s="1"/>
  <c r="F16" i="3" l="1"/>
  <c r="H15" i="3"/>
  <c r="G15" i="1"/>
</calcChain>
</file>

<file path=xl/sharedStrings.xml><?xml version="1.0" encoding="utf-8"?>
<sst xmlns="http://schemas.openxmlformats.org/spreadsheetml/2006/main" count="109" uniqueCount="100">
  <si>
    <t>Types of Dividends Policy</t>
  </si>
  <si>
    <t>1) Constant pay-out ratio dividend policy</t>
  </si>
  <si>
    <t>This is very common policy.</t>
  </si>
  <si>
    <t xml:space="preserve">The problem for shareholders is that if the firm's earnings drop or if a loss ocuurs in a certain year, dividends may be low or nonexistent. </t>
  </si>
  <si>
    <t>Anyway a drop on earnings is always a signal of the the fir's future condition and status (specially recurring earnings) and may thus adersely affect the share price</t>
  </si>
  <si>
    <t>Year</t>
  </si>
  <si>
    <t>Earnings per share</t>
  </si>
  <si>
    <t>Dividends per share</t>
  </si>
  <si>
    <t>Average share price</t>
  </si>
  <si>
    <t>Correlation with Share price</t>
  </si>
  <si>
    <t>Volatility</t>
  </si>
  <si>
    <t>Some argue that this dividend policy may have adverse impact on share price</t>
  </si>
  <si>
    <t>But the driver of cash flow to shareholders is earnings. So a decline on earnings is the fundamental driver for the drop on share price</t>
  </si>
  <si>
    <t xml:space="preserve">In this case we can see the correlation of earnigs per share is higher than dividends per share. </t>
  </si>
  <si>
    <t>Payment is a fixed dollar dividend</t>
  </si>
  <si>
    <t>This policy is good for shareholders in the sense that reduce cash available uncertainty</t>
  </si>
  <si>
    <t xml:space="preserve">When there is a proven increase in earnings, often companies increase the regular dividends </t>
  </si>
  <si>
    <t>Under this policy, dividends are almost never decreased</t>
  </si>
  <si>
    <t>Dividend yield</t>
  </si>
  <si>
    <t>Share price growth</t>
  </si>
  <si>
    <t>TSR</t>
  </si>
  <si>
    <t>Average return</t>
  </si>
  <si>
    <t>Dividend per share</t>
  </si>
  <si>
    <t>Payout ratio</t>
  </si>
  <si>
    <t xml:space="preserve">In this example you may see the company was paying 0.10 € fixed per share </t>
  </si>
  <si>
    <t>When earnings per share were expected to exceed 0.400€ per share, the management decided to increase the dividend to 0.150€ per share</t>
  </si>
  <si>
    <t>Regular dividend policy is built around a target dividend payout ratio</t>
  </si>
  <si>
    <t>The firm attempts to pay a certain pay-out ratio on average</t>
  </si>
  <si>
    <t>In this case it is likely to be around 35%. The average in 12 years was 33.8%</t>
  </si>
  <si>
    <t xml:space="preserve">And we may notice that in the year the dividend policiy was set out it was 35%. </t>
  </si>
  <si>
    <t>Coefficient of variation</t>
  </si>
  <si>
    <t>Companies with such a dividend policy tend to have a highly cyclicar business</t>
  </si>
  <si>
    <t>EPS</t>
  </si>
  <si>
    <t>Regular dividends per share</t>
  </si>
  <si>
    <t>Extra dividends</t>
  </si>
  <si>
    <t>Average pay-out</t>
  </si>
  <si>
    <t>1. What factors should be considered in making a revision to the amount of the regular dividend?</t>
  </si>
  <si>
    <t>2. If there is a revision, what shoud be the new regular dividend?</t>
  </si>
  <si>
    <t>If the firm expects that future earnings remain above 2.2€ per share in most of the years:</t>
  </si>
  <si>
    <t>Minimum EPS</t>
  </si>
  <si>
    <t xml:space="preserve">Target payout </t>
  </si>
  <si>
    <t>New regular dividend per share</t>
  </si>
  <si>
    <t>Total cumulated</t>
  </si>
  <si>
    <t>Pay-out ratio</t>
  </si>
  <si>
    <t>2) Regular dividend policy</t>
  </si>
  <si>
    <t>3) Low regular and extra dividend policy</t>
  </si>
  <si>
    <t>4) Residual dividend policy</t>
  </si>
  <si>
    <t>Information for next year:</t>
  </si>
  <si>
    <t>2. Forecasted earnings</t>
  </si>
  <si>
    <t>3. Target debt ratio</t>
  </si>
  <si>
    <t>Debt financing</t>
  </si>
  <si>
    <t>1. Capital expenditure (M€)</t>
  </si>
  <si>
    <t>Available for dividends</t>
  </si>
  <si>
    <t>Expected pay-out ratio</t>
  </si>
  <si>
    <t>Scenario 1</t>
  </si>
  <si>
    <t>Scenario 2</t>
  </si>
  <si>
    <t>Scenario 3</t>
  </si>
  <si>
    <t>Calculations:</t>
  </si>
  <si>
    <t>Required equity financing</t>
  </si>
  <si>
    <t>Payable dividends</t>
  </si>
  <si>
    <t>Probably Scenario 3 is not feasible because debt target ratio is not achieved and there is no dividends to shareholders</t>
  </si>
  <si>
    <t>May be something between 1 and 2.</t>
  </si>
  <si>
    <t>Factors to consider:</t>
  </si>
  <si>
    <t>Legal constraints</t>
  </si>
  <si>
    <t>Contractual constraints</t>
  </si>
  <si>
    <t>Internal constraints</t>
  </si>
  <si>
    <t>Growth prospects</t>
  </si>
  <si>
    <t>Shareholders considerations</t>
  </si>
  <si>
    <t>Market considerations</t>
  </si>
  <si>
    <t>5. Share repurchase</t>
  </si>
  <si>
    <t>Consider the following information in relation to this company:</t>
  </si>
  <si>
    <t>Earnings</t>
  </si>
  <si>
    <t>Number of shares</t>
  </si>
  <si>
    <t>Share price</t>
  </si>
  <si>
    <t>P/E</t>
  </si>
  <si>
    <t>If the company pays cash dividends:</t>
  </si>
  <si>
    <t>Cash dividends</t>
  </si>
  <si>
    <t>If the company repurchase shares:</t>
  </si>
  <si>
    <t>The company is contemplating to use €800 000 to pay cash dividends or to repurchase its own shares with a premium of 4%</t>
  </si>
  <si>
    <t>Share premium</t>
  </si>
  <si>
    <t>Repurchase share price</t>
  </si>
  <si>
    <t>Number of shares repurchased</t>
  </si>
  <si>
    <t>Cash available for repurchasing shares</t>
  </si>
  <si>
    <t>Shares outstanding</t>
  </si>
  <si>
    <t>Earnings per share rise</t>
  </si>
  <si>
    <t>If P/E remains the same</t>
  </si>
  <si>
    <t>Share price increase to</t>
  </si>
  <si>
    <t>In both case shareholders would receive € 0.20 per share - if they sold the shares they received in cash, if they did not sell, the shares value €0.20 more</t>
  </si>
  <si>
    <t xml:space="preserve">With  the following data we are calculating the dividends </t>
  </si>
  <si>
    <t>Let's see an example of a company following a pay-out ratio policy of 40%</t>
  </si>
  <si>
    <t>12 today</t>
  </si>
  <si>
    <t>6 Today</t>
  </si>
  <si>
    <t>In contrast to those that think that constant payou-out ratio may determine higher volatility in share prices, we can see that correlation between dividends and share price is greater in this case than in the previosu case with conatant pay-out</t>
  </si>
  <si>
    <t>The signaling theory and the assymetric information may explain the jump of share price to a new level after the new level of divids is defined, giving a signal to the market that managers are expecting the earnings to saty at na higher level than before.</t>
  </si>
  <si>
    <t>So, they declare a regular dividend of 0.50€ per share with extra cash dividends to be paid when earnings justify them.</t>
  </si>
  <si>
    <t>Suppose the firm has a pay-out target ratio of 25% but the board thinks that if they announce such a policy the dividends will fluctuate each year very much and create uncertainty to shareholders.</t>
  </si>
  <si>
    <t>6 today</t>
  </si>
  <si>
    <t>Excess (Deficit)</t>
  </si>
  <si>
    <t>Total dividend per share</t>
  </si>
  <si>
    <t>Estimate the amount of dividend you are likely to pay next year considering you are following a residual dividend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</si>
</sst>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2]\ #,##0.00_);\([$€-2]\ #,##0.00\)"/>
    <numFmt numFmtId="165" formatCode="0.0%"/>
    <numFmt numFmtId="166" formatCode="[$€-2]\ #,##0.000_);\([$€-2]\ #,##0.000\)"/>
    <numFmt numFmtId="167" formatCode="[$€-2]\ #,##0_);\([$€-2]\ #,##0\)"/>
    <numFmt numFmtId="168" formatCode="#,##0.0_);\(#,##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0" fontId="2" fillId="0" borderId="0" xfId="0" applyFont="1"/>
    <xf numFmtId="0" fontId="2" fillId="0" borderId="0" xfId="0" applyFont="1" applyAlignment="1">
      <alignment horizontal="center" vertical="center"/>
    </xf>
    <xf numFmtId="0" fontId="0" fillId="0" borderId="1" xfId="0" applyBorder="1"/>
    <xf numFmtId="164" fontId="0" fillId="0" borderId="1" xfId="0" applyNumberFormat="1" applyBorder="1"/>
    <xf numFmtId="164" fontId="0" fillId="0" borderId="2" xfId="0" applyNumberFormat="1" applyBorder="1"/>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9" fontId="0" fillId="0" borderId="1" xfId="0" applyNumberFormat="1" applyBorder="1" applyAlignment="1">
      <alignment vertical="center"/>
    </xf>
    <xf numFmtId="0" fontId="0" fillId="0" borderId="6" xfId="0" applyBorder="1" applyAlignment="1">
      <alignment vertical="center" wrapText="1"/>
    </xf>
    <xf numFmtId="39" fontId="0" fillId="0" borderId="6" xfId="0" applyNumberFormat="1" applyBorder="1" applyAlignment="1">
      <alignment vertical="center"/>
    </xf>
    <xf numFmtId="165" fontId="0" fillId="0" borderId="0" xfId="1" applyNumberFormat="1" applyFont="1"/>
    <xf numFmtId="165" fontId="0" fillId="0" borderId="2" xfId="1" applyNumberFormat="1" applyFont="1" applyBorder="1"/>
    <xf numFmtId="165" fontId="0" fillId="0" borderId="1" xfId="1" applyNumberFormat="1" applyFont="1" applyBorder="1"/>
    <xf numFmtId="166" fontId="0" fillId="0" borderId="2" xfId="0" applyNumberFormat="1" applyBorder="1"/>
    <xf numFmtId="166" fontId="0" fillId="0" borderId="1" xfId="0" applyNumberFormat="1" applyBorder="1"/>
    <xf numFmtId="165" fontId="0" fillId="0" borderId="0" xfId="0" applyNumberFormat="1"/>
    <xf numFmtId="164" fontId="0" fillId="0" borderId="6" xfId="0" applyNumberFormat="1" applyBorder="1"/>
    <xf numFmtId="165" fontId="0" fillId="0" borderId="6" xfId="1" applyNumberFormat="1" applyFont="1" applyBorder="1"/>
    <xf numFmtId="165" fontId="0" fillId="0" borderId="1" xfId="1" applyNumberFormat="1" applyFont="1" applyFill="1" applyBorder="1"/>
    <xf numFmtId="0" fontId="0" fillId="0" borderId="0" xfId="0" applyFill="1" applyBorder="1" applyAlignment="1">
      <alignment wrapText="1"/>
    </xf>
    <xf numFmtId="164" fontId="0" fillId="0" borderId="0" xfId="0" applyNumberFormat="1"/>
    <xf numFmtId="9" fontId="0" fillId="0" borderId="0" xfId="1" applyFont="1"/>
    <xf numFmtId="166" fontId="0" fillId="0" borderId="0" xfId="0" applyNumberFormat="1"/>
    <xf numFmtId="0" fontId="0" fillId="0" borderId="0" xfId="0" applyAlignment="1">
      <alignment horizontal="center"/>
    </xf>
    <xf numFmtId="0" fontId="2" fillId="0" borderId="3"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vertical="center" wrapText="1"/>
    </xf>
    <xf numFmtId="39" fontId="0" fillId="0" borderId="0" xfId="0" applyNumberFormat="1"/>
    <xf numFmtId="9" fontId="0" fillId="0" borderId="0" xfId="0" applyNumberFormat="1"/>
    <xf numFmtId="164" fontId="0" fillId="0" borderId="0" xfId="2" applyNumberFormat="1" applyFont="1"/>
    <xf numFmtId="10" fontId="0" fillId="0" borderId="0" xfId="1" applyNumberFormat="1" applyFont="1"/>
    <xf numFmtId="164" fontId="0" fillId="0" borderId="1" xfId="2" applyNumberFormat="1" applyFont="1" applyBorder="1"/>
    <xf numFmtId="164" fontId="0" fillId="0" borderId="2" xfId="2" applyNumberFormat="1" applyFont="1" applyBorder="1"/>
    <xf numFmtId="0" fontId="2" fillId="0" borderId="4" xfId="0" applyFont="1" applyBorder="1" applyAlignment="1">
      <alignment horizontal="center"/>
    </xf>
    <xf numFmtId="9" fontId="2" fillId="0" borderId="4" xfId="0" applyNumberFormat="1" applyFont="1" applyBorder="1" applyAlignment="1">
      <alignment horizontal="center"/>
    </xf>
    <xf numFmtId="0" fontId="0" fillId="0" borderId="6" xfId="0" applyBorder="1" applyAlignment="1">
      <alignment horizontal="center"/>
    </xf>
    <xf numFmtId="164" fontId="0" fillId="0" borderId="6" xfId="2" applyNumberFormat="1" applyFont="1" applyBorder="1"/>
    <xf numFmtId="0" fontId="0" fillId="0" borderId="3" xfId="0" applyBorder="1" applyAlignment="1">
      <alignment horizontal="center"/>
    </xf>
    <xf numFmtId="164" fontId="0" fillId="0" borderId="4" xfId="0" applyNumberFormat="1" applyBorder="1"/>
    <xf numFmtId="0" fontId="0" fillId="0" borderId="4" xfId="0" applyBorder="1"/>
    <xf numFmtId="165" fontId="0" fillId="0" borderId="5" xfId="1" applyNumberFormat="1" applyFont="1" applyBorder="1"/>
    <xf numFmtId="0" fontId="0" fillId="0" borderId="0" xfId="0" applyAlignment="1">
      <alignment horizontal="left" indent="1"/>
    </xf>
    <xf numFmtId="167" fontId="0" fillId="0" borderId="0" xfId="0" applyNumberFormat="1"/>
    <xf numFmtId="37" fontId="0" fillId="0" borderId="0" xfId="0" applyNumberFormat="1"/>
    <xf numFmtId="168" fontId="0" fillId="0" borderId="0" xfId="0" applyNumberFormat="1"/>
    <xf numFmtId="0" fontId="0" fillId="0" borderId="0" xfId="0" applyAlignment="1">
      <alignment horizontal="left" vertical="top" wrapText="1"/>
    </xf>
    <xf numFmtId="0" fontId="0" fillId="0" borderId="0" xfId="0" applyAlignment="1">
      <alignment vertical="top" wrapText="1"/>
    </xf>
    <xf numFmtId="9" fontId="2" fillId="0" borderId="4" xfId="0" applyNumberFormat="1" applyFont="1" applyBorder="1" applyAlignment="1">
      <alignment horizontal="center" wrapText="1"/>
    </xf>
    <xf numFmtId="0" fontId="2" fillId="0" borderId="7" xfId="0" applyFont="1" applyBorder="1" applyAlignment="1">
      <alignment horizontal="center" vertical="center" wrapText="1"/>
    </xf>
    <xf numFmtId="164" fontId="0" fillId="0" borderId="7" xfId="0" applyNumberFormat="1" applyBorder="1"/>
    <xf numFmtId="0" fontId="0" fillId="0" borderId="2" xfId="0" applyBorder="1"/>
    <xf numFmtId="0" fontId="2" fillId="0" borderId="3" xfId="0" applyFont="1" applyBorder="1"/>
    <xf numFmtId="0" fontId="2" fillId="0" borderId="4" xfId="0" applyFont="1" applyBorder="1"/>
    <xf numFmtId="0" fontId="2" fillId="0" borderId="5"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9" fontId="0" fillId="0" borderId="13" xfId="0" applyNumberFormat="1" applyBorder="1"/>
    <xf numFmtId="9" fontId="0" fillId="0" borderId="14" xfId="0" applyNumberFormat="1" applyBorder="1"/>
    <xf numFmtId="0" fontId="0" fillId="0" borderId="15" xfId="0" applyBorder="1"/>
    <xf numFmtId="167" fontId="0" fillId="0" borderId="16" xfId="0" applyNumberFormat="1" applyBorder="1"/>
    <xf numFmtId="37" fontId="0" fillId="0" borderId="11" xfId="0" applyNumberFormat="1" applyBorder="1"/>
    <xf numFmtId="166" fontId="0" fillId="0" borderId="11" xfId="0" applyNumberFormat="1" applyBorder="1"/>
    <xf numFmtId="164" fontId="0" fillId="0" borderId="14" xfId="0" applyNumberFormat="1" applyBorder="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4610673665791774E-4"/>
                  <c:y val="0.1932575094779819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'Pay-out constant'!$C$10:$C$15</c:f>
              <c:numCache>
                <c:formatCode>[$€-2]\ #,##0.00_);\([$€-2]\ #,##0.00\)</c:formatCode>
                <c:ptCount val="6"/>
                <c:pt idx="0">
                  <c:v>0.18000000000000002</c:v>
                </c:pt>
                <c:pt idx="1">
                  <c:v>8.0000000000000016E-2</c:v>
                </c:pt>
                <c:pt idx="2">
                  <c:v>0</c:v>
                </c:pt>
                <c:pt idx="3">
                  <c:v>6.9999999999999993E-2</c:v>
                </c:pt>
                <c:pt idx="4">
                  <c:v>0.12</c:v>
                </c:pt>
                <c:pt idx="5">
                  <c:v>0</c:v>
                </c:pt>
              </c:numCache>
            </c:numRef>
          </c:xVal>
          <c:yVal>
            <c:numRef>
              <c:f>'Pay-out constant'!$D$10:$D$15</c:f>
              <c:numCache>
                <c:formatCode>[$€-2]\ #,##0.00_);\([$€-2]\ #,##0.00\)</c:formatCode>
                <c:ptCount val="6"/>
                <c:pt idx="0">
                  <c:v>5</c:v>
                </c:pt>
                <c:pt idx="1">
                  <c:v>4.5999999999999996</c:v>
                </c:pt>
                <c:pt idx="2">
                  <c:v>3.8</c:v>
                </c:pt>
                <c:pt idx="3">
                  <c:v>4.8</c:v>
                </c:pt>
                <c:pt idx="4">
                  <c:v>5.2</c:v>
                </c:pt>
                <c:pt idx="5">
                  <c:v>4.2</c:v>
                </c:pt>
              </c:numCache>
            </c:numRef>
          </c:yVal>
          <c:smooth val="0"/>
          <c:extLst>
            <c:ext xmlns:c16="http://schemas.microsoft.com/office/drawing/2014/chart" uri="{C3380CC4-5D6E-409C-BE32-E72D297353CC}">
              <c16:uniqueId val="{00000000-28D6-4E3C-BD12-EE07086C6BD0}"/>
            </c:ext>
          </c:extLst>
        </c:ser>
        <c:dLbls>
          <c:showLegendKey val="0"/>
          <c:showVal val="0"/>
          <c:showCatName val="0"/>
          <c:showSerName val="0"/>
          <c:showPercent val="0"/>
          <c:showBubbleSize val="0"/>
        </c:dLbls>
        <c:axId val="366268591"/>
        <c:axId val="366310207"/>
      </c:scatterChart>
      <c:valAx>
        <c:axId val="36626859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Dividends per share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_);\([$€-2]\ #,##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310207"/>
        <c:crosses val="autoZero"/>
        <c:crossBetween val="midCat"/>
      </c:valAx>
      <c:valAx>
        <c:axId val="3663102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Price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_);\([$€-2]\ #,##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26859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9.2115048118985125E-3"/>
                  <c:y val="0.1540124671916010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'Pay-out constant'!$B$10:$B$15</c:f>
              <c:numCache>
                <c:formatCode>[$€-2]\ #,##0.000_);\([$€-2]\ #,##0.000\)</c:formatCode>
                <c:ptCount val="6"/>
                <c:pt idx="0">
                  <c:v>0.45</c:v>
                </c:pt>
                <c:pt idx="1">
                  <c:v>0.2</c:v>
                </c:pt>
                <c:pt idx="2">
                  <c:v>-0.15</c:v>
                </c:pt>
                <c:pt idx="3">
                  <c:v>0.17499999999999999</c:v>
                </c:pt>
                <c:pt idx="4">
                  <c:v>0.3</c:v>
                </c:pt>
                <c:pt idx="5">
                  <c:v>-0.05</c:v>
                </c:pt>
              </c:numCache>
            </c:numRef>
          </c:xVal>
          <c:yVal>
            <c:numRef>
              <c:f>'Pay-out constant'!$D$10:$D$15</c:f>
              <c:numCache>
                <c:formatCode>[$€-2]\ #,##0.00_);\([$€-2]\ #,##0.00\)</c:formatCode>
                <c:ptCount val="6"/>
                <c:pt idx="0">
                  <c:v>5</c:v>
                </c:pt>
                <c:pt idx="1">
                  <c:v>4.5999999999999996</c:v>
                </c:pt>
                <c:pt idx="2">
                  <c:v>3.8</c:v>
                </c:pt>
                <c:pt idx="3">
                  <c:v>4.8</c:v>
                </c:pt>
                <c:pt idx="4">
                  <c:v>5.2</c:v>
                </c:pt>
                <c:pt idx="5">
                  <c:v>4.2</c:v>
                </c:pt>
              </c:numCache>
            </c:numRef>
          </c:yVal>
          <c:smooth val="0"/>
          <c:extLst>
            <c:ext xmlns:c16="http://schemas.microsoft.com/office/drawing/2014/chart" uri="{C3380CC4-5D6E-409C-BE32-E72D297353CC}">
              <c16:uniqueId val="{00000000-D76E-4829-AE1F-9703427BE060}"/>
            </c:ext>
          </c:extLst>
        </c:ser>
        <c:dLbls>
          <c:showLegendKey val="0"/>
          <c:showVal val="0"/>
          <c:showCatName val="0"/>
          <c:showSerName val="0"/>
          <c:showPercent val="0"/>
          <c:showBubbleSize val="0"/>
        </c:dLbls>
        <c:axId val="497693311"/>
        <c:axId val="493171743"/>
      </c:scatterChart>
      <c:valAx>
        <c:axId val="49769331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Earnings per share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0_);\([$€-2]\ #,##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171743"/>
        <c:crosses val="autoZero"/>
        <c:crossBetween val="midCat"/>
      </c:valAx>
      <c:valAx>
        <c:axId val="4931717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price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_);\([$€-2]\ #,##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69331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5758967629046369E-3"/>
                  <c:y val="0.2171759259259259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'Regular dividend'!$B$11:$B$22</c:f>
              <c:numCache>
                <c:formatCode>[$€-2]\ #,##0.000_);\([$€-2]\ #,##0.000\)</c:formatCode>
                <c:ptCount val="12"/>
                <c:pt idx="0">
                  <c:v>0.28500000000000003</c:v>
                </c:pt>
                <c:pt idx="1">
                  <c:v>0.27</c:v>
                </c:pt>
                <c:pt idx="2">
                  <c:v>0.05</c:v>
                </c:pt>
                <c:pt idx="3">
                  <c:v>7.4999999999999997E-2</c:v>
                </c:pt>
                <c:pt idx="4">
                  <c:v>0.3</c:v>
                </c:pt>
                <c:pt idx="5">
                  <c:v>0.6</c:v>
                </c:pt>
                <c:pt idx="6">
                  <c:v>0.2</c:v>
                </c:pt>
                <c:pt idx="7">
                  <c:v>0.5</c:v>
                </c:pt>
                <c:pt idx="8">
                  <c:v>0.42</c:v>
                </c:pt>
                <c:pt idx="9">
                  <c:v>0.46</c:v>
                </c:pt>
                <c:pt idx="10">
                  <c:v>0.39</c:v>
                </c:pt>
                <c:pt idx="11">
                  <c:v>0.45</c:v>
                </c:pt>
              </c:numCache>
            </c:numRef>
          </c:xVal>
          <c:yVal>
            <c:numRef>
              <c:f>'Regular dividend'!$E$11:$E$22</c:f>
              <c:numCache>
                <c:formatCode>[$€-2]\ #,##0.00_);\([$€-2]\ #,##0.00\)</c:formatCode>
                <c:ptCount val="12"/>
                <c:pt idx="0">
                  <c:v>3.5</c:v>
                </c:pt>
                <c:pt idx="1">
                  <c:v>3.35</c:v>
                </c:pt>
                <c:pt idx="2">
                  <c:v>3.3</c:v>
                </c:pt>
                <c:pt idx="3">
                  <c:v>3.3</c:v>
                </c:pt>
                <c:pt idx="4">
                  <c:v>3.6</c:v>
                </c:pt>
                <c:pt idx="5">
                  <c:v>3.8</c:v>
                </c:pt>
                <c:pt idx="6">
                  <c:v>3.85</c:v>
                </c:pt>
                <c:pt idx="7">
                  <c:v>4.2</c:v>
                </c:pt>
                <c:pt idx="8">
                  <c:v>4.3</c:v>
                </c:pt>
                <c:pt idx="9">
                  <c:v>4.5</c:v>
                </c:pt>
                <c:pt idx="10">
                  <c:v>4.6500000000000004</c:v>
                </c:pt>
                <c:pt idx="11">
                  <c:v>4.75</c:v>
                </c:pt>
              </c:numCache>
            </c:numRef>
          </c:yVal>
          <c:smooth val="0"/>
          <c:extLst>
            <c:ext xmlns:c16="http://schemas.microsoft.com/office/drawing/2014/chart" uri="{C3380CC4-5D6E-409C-BE32-E72D297353CC}">
              <c16:uniqueId val="{00000000-83E0-4D17-B559-638B60F92F88}"/>
            </c:ext>
          </c:extLst>
        </c:ser>
        <c:dLbls>
          <c:showLegendKey val="0"/>
          <c:showVal val="0"/>
          <c:showCatName val="0"/>
          <c:showSerName val="0"/>
          <c:showPercent val="0"/>
          <c:showBubbleSize val="0"/>
        </c:dLbls>
        <c:axId val="1569464303"/>
        <c:axId val="1794627551"/>
      </c:scatterChart>
      <c:valAx>
        <c:axId val="15694643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Earnings per share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0_);\([$€-2]\ #,##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4627551"/>
        <c:crosses val="autoZero"/>
        <c:crossBetween val="midCat"/>
      </c:valAx>
      <c:valAx>
        <c:axId val="17946275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price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_);\([$€-2]\ #,##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46430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4.8346675415573054E-2"/>
                  <c:y val="0.133842592592592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'Regular dividend'!$C$11:$C$22</c:f>
              <c:numCache>
                <c:formatCode>[$€-2]\ #,##0.00_);\([$€-2]\ #,##0.00\)</c:formatCode>
                <c:ptCount val="12"/>
                <c:pt idx="0">
                  <c:v>0.1</c:v>
                </c:pt>
                <c:pt idx="1">
                  <c:v>0.1</c:v>
                </c:pt>
                <c:pt idx="2">
                  <c:v>0.1</c:v>
                </c:pt>
                <c:pt idx="3">
                  <c:v>0.1</c:v>
                </c:pt>
                <c:pt idx="4">
                  <c:v>0.1</c:v>
                </c:pt>
                <c:pt idx="5">
                  <c:v>0.1</c:v>
                </c:pt>
                <c:pt idx="6">
                  <c:v>0.1</c:v>
                </c:pt>
                <c:pt idx="7">
                  <c:v>0.1</c:v>
                </c:pt>
                <c:pt idx="8">
                  <c:v>0.1</c:v>
                </c:pt>
                <c:pt idx="9">
                  <c:v>0.15</c:v>
                </c:pt>
                <c:pt idx="10">
                  <c:v>0.15</c:v>
                </c:pt>
                <c:pt idx="11">
                  <c:v>0.15</c:v>
                </c:pt>
              </c:numCache>
            </c:numRef>
          </c:xVal>
          <c:yVal>
            <c:numRef>
              <c:f>'Regular dividend'!$E$11:$E$22</c:f>
              <c:numCache>
                <c:formatCode>[$€-2]\ #,##0.00_);\([$€-2]\ #,##0.00\)</c:formatCode>
                <c:ptCount val="12"/>
                <c:pt idx="0">
                  <c:v>3.5</c:v>
                </c:pt>
                <c:pt idx="1">
                  <c:v>3.35</c:v>
                </c:pt>
                <c:pt idx="2">
                  <c:v>3.3</c:v>
                </c:pt>
                <c:pt idx="3">
                  <c:v>3.3</c:v>
                </c:pt>
                <c:pt idx="4">
                  <c:v>3.6</c:v>
                </c:pt>
                <c:pt idx="5">
                  <c:v>3.8</c:v>
                </c:pt>
                <c:pt idx="6">
                  <c:v>3.85</c:v>
                </c:pt>
                <c:pt idx="7">
                  <c:v>4.2</c:v>
                </c:pt>
                <c:pt idx="8">
                  <c:v>4.3</c:v>
                </c:pt>
                <c:pt idx="9">
                  <c:v>4.5</c:v>
                </c:pt>
                <c:pt idx="10">
                  <c:v>4.6500000000000004</c:v>
                </c:pt>
                <c:pt idx="11">
                  <c:v>4.75</c:v>
                </c:pt>
              </c:numCache>
            </c:numRef>
          </c:yVal>
          <c:smooth val="0"/>
          <c:extLst>
            <c:ext xmlns:c16="http://schemas.microsoft.com/office/drawing/2014/chart" uri="{C3380CC4-5D6E-409C-BE32-E72D297353CC}">
              <c16:uniqueId val="{00000000-099B-4FAC-B66F-DB1894B81762}"/>
            </c:ext>
          </c:extLst>
        </c:ser>
        <c:dLbls>
          <c:showLegendKey val="0"/>
          <c:showVal val="0"/>
          <c:showCatName val="0"/>
          <c:showSerName val="0"/>
          <c:showPercent val="0"/>
          <c:showBubbleSize val="0"/>
        </c:dLbls>
        <c:axId val="2103283856"/>
        <c:axId val="112143936"/>
      </c:scatterChart>
      <c:valAx>
        <c:axId val="21032838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Dividends per share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_);\([$€-2]\ #,##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43936"/>
        <c:crosses val="autoZero"/>
        <c:crossBetween val="midCat"/>
      </c:valAx>
      <c:valAx>
        <c:axId val="112143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price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2]\ #,##0.00_);\([$€-2]\ #,##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32838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15875</xdr:colOff>
      <xdr:row>18</xdr:row>
      <xdr:rowOff>19050</xdr:rowOff>
    </xdr:from>
    <xdr:to>
      <xdr:col>15</xdr:col>
      <xdr:colOff>320675</xdr:colOff>
      <xdr:row>33</xdr:row>
      <xdr:rowOff>0</xdr:rowOff>
    </xdr:to>
    <xdr:graphicFrame macro="">
      <xdr:nvGraphicFramePr>
        <xdr:cNvPr id="2" name="Chart 1">
          <a:extLst>
            <a:ext uri="{FF2B5EF4-FFF2-40B4-BE49-F238E27FC236}">
              <a16:creationId xmlns:a16="http://schemas.microsoft.com/office/drawing/2014/main" id="{6F095CCC-395E-4D7C-880F-B15B2FA9E9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22225</xdr:colOff>
      <xdr:row>33</xdr:row>
      <xdr:rowOff>139700</xdr:rowOff>
    </xdr:from>
    <xdr:to>
      <xdr:col>15</xdr:col>
      <xdr:colOff>327025</xdr:colOff>
      <xdr:row>48</xdr:row>
      <xdr:rowOff>120650</xdr:rowOff>
    </xdr:to>
    <xdr:graphicFrame macro="">
      <xdr:nvGraphicFramePr>
        <xdr:cNvPr id="4" name="Chart 3">
          <a:extLst>
            <a:ext uri="{FF2B5EF4-FFF2-40B4-BE49-F238E27FC236}">
              <a16:creationId xmlns:a16="http://schemas.microsoft.com/office/drawing/2014/main" id="{30077DDA-73BD-4345-A657-63AC106261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536575</xdr:colOff>
      <xdr:row>9</xdr:row>
      <xdr:rowOff>438150</xdr:rowOff>
    </xdr:from>
    <xdr:to>
      <xdr:col>13</xdr:col>
      <xdr:colOff>231775</xdr:colOff>
      <xdr:row>24</xdr:row>
      <xdr:rowOff>44450</xdr:rowOff>
    </xdr:to>
    <xdr:graphicFrame macro="">
      <xdr:nvGraphicFramePr>
        <xdr:cNvPr id="2" name="Chart 1">
          <a:extLst>
            <a:ext uri="{FF2B5EF4-FFF2-40B4-BE49-F238E27FC236}">
              <a16:creationId xmlns:a16="http://schemas.microsoft.com/office/drawing/2014/main" id="{AB45BDB9-DC0D-481A-BBAA-FF004297AB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123825</xdr:colOff>
      <xdr:row>24</xdr:row>
      <xdr:rowOff>88900</xdr:rowOff>
    </xdr:from>
    <xdr:to>
      <xdr:col>16</xdr:col>
      <xdr:colOff>428625</xdr:colOff>
      <xdr:row>35</xdr:row>
      <xdr:rowOff>215900</xdr:rowOff>
    </xdr:to>
    <xdr:graphicFrame macro="">
      <xdr:nvGraphicFramePr>
        <xdr:cNvPr id="3" name="Chart 2">
          <a:extLst>
            <a:ext uri="{FF2B5EF4-FFF2-40B4-BE49-F238E27FC236}">
              <a16:creationId xmlns:a16="http://schemas.microsoft.com/office/drawing/2014/main" id="{51E202BE-7720-4411-BA0E-CAD80F5E54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B9332-A3FE-4159-98BC-2AD5BAE3F3BA}">
  <dimension ref="A1:G34"/>
  <sheetViews>
    <sheetView topLeftCell="A7" zoomScaleNormal="100" workbookViewId="0">
      <selection activeCell="C17" sqref="C17"/>
    </sheetView>
  </sheetViews>
  <sheetFormatPr defaultRowHeight="14.5" x14ac:dyDescent="0.35"/>
  <cols>
    <col min="1" max="1" width="18.1796875" customWidth="1"/>
    <col min="2" max="4" width="9.6328125" customWidth="1"/>
  </cols>
  <sheetData>
    <row r="1" spans="1:7" x14ac:dyDescent="0.35">
      <c r="A1" s="1" t="s">
        <v>0</v>
      </c>
    </row>
    <row r="2" spans="1:7" x14ac:dyDescent="0.35">
      <c r="A2" s="1" t="s">
        <v>1</v>
      </c>
    </row>
    <row r="3" spans="1:7" x14ac:dyDescent="0.35">
      <c r="A3" t="s">
        <v>2</v>
      </c>
    </row>
    <row r="4" spans="1:7" x14ac:dyDescent="0.35">
      <c r="A4" t="s">
        <v>3</v>
      </c>
    </row>
    <row r="5" spans="1:7" x14ac:dyDescent="0.35">
      <c r="A5" t="s">
        <v>4</v>
      </c>
    </row>
    <row r="7" spans="1:7" x14ac:dyDescent="0.35">
      <c r="A7" t="s">
        <v>89</v>
      </c>
    </row>
    <row r="8" spans="1:7" ht="15" thickBot="1" x14ac:dyDescent="0.4"/>
    <row r="9" spans="1:7" s="2" customFormat="1" ht="44" thickBot="1" x14ac:dyDescent="0.4">
      <c r="A9" s="6" t="s">
        <v>5</v>
      </c>
      <c r="B9" s="7" t="s">
        <v>6</v>
      </c>
      <c r="C9" s="7" t="s">
        <v>7</v>
      </c>
      <c r="D9" s="8" t="s">
        <v>8</v>
      </c>
      <c r="E9" s="8" t="s">
        <v>18</v>
      </c>
      <c r="F9" s="8" t="s">
        <v>19</v>
      </c>
      <c r="G9" s="8" t="s">
        <v>20</v>
      </c>
    </row>
    <row r="10" spans="1:7" x14ac:dyDescent="0.35">
      <c r="A10" s="29">
        <v>1</v>
      </c>
      <c r="B10" s="16">
        <f>4.5/10</f>
        <v>0.45</v>
      </c>
      <c r="C10" s="4">
        <f>IF(B10&lt;=0,0,+B10*0.4)</f>
        <v>0.18000000000000002</v>
      </c>
      <c r="D10" s="18">
        <v>5</v>
      </c>
      <c r="E10" s="19">
        <f t="shared" ref="E10:E15" si="0">+C10/D10</f>
        <v>3.6000000000000004E-2</v>
      </c>
      <c r="F10" s="12"/>
      <c r="G10" s="17"/>
    </row>
    <row r="11" spans="1:7" s="2" customFormat="1" x14ac:dyDescent="0.35">
      <c r="A11" s="29">
        <v>2</v>
      </c>
      <c r="B11" s="16">
        <f>2/10</f>
        <v>0.2</v>
      </c>
      <c r="C11" s="4">
        <f>IF(B11&lt;=0,0,+B11*0.4)</f>
        <v>8.0000000000000016E-2</v>
      </c>
      <c r="D11" s="4">
        <v>4.5999999999999996</v>
      </c>
      <c r="E11" s="14">
        <f t="shared" si="0"/>
        <v>1.7391304347826091E-2</v>
      </c>
      <c r="F11" s="14">
        <f>+D11/D10-1</f>
        <v>-8.0000000000000071E-2</v>
      </c>
      <c r="G11" s="14">
        <f>+E11+F11</f>
        <v>-6.2608695652173973E-2</v>
      </c>
    </row>
    <row r="12" spans="1:7" s="2" customFormat="1" x14ac:dyDescent="0.35">
      <c r="A12" s="29">
        <v>3</v>
      </c>
      <c r="B12" s="16">
        <f>-1.5/10</f>
        <v>-0.15</v>
      </c>
      <c r="C12" s="4">
        <f>IF(B12&lt;=0,0,+B12*0.4)</f>
        <v>0</v>
      </c>
      <c r="D12" s="4">
        <v>3.8</v>
      </c>
      <c r="E12" s="14">
        <f t="shared" si="0"/>
        <v>0</v>
      </c>
      <c r="F12" s="14">
        <f>+D12/D11-1</f>
        <v>-0.17391304347826086</v>
      </c>
      <c r="G12" s="14">
        <f>+E12+F12</f>
        <v>-0.17391304347826086</v>
      </c>
    </row>
    <row r="13" spans="1:7" s="2" customFormat="1" x14ac:dyDescent="0.35">
      <c r="A13" s="29">
        <v>4</v>
      </c>
      <c r="B13" s="16">
        <f>1.75/10</f>
        <v>0.17499999999999999</v>
      </c>
      <c r="C13" s="4">
        <f>IF(B13&lt;=0,0,+B13*0.4)</f>
        <v>6.9999999999999993E-2</v>
      </c>
      <c r="D13" s="4">
        <v>4.8</v>
      </c>
      <c r="E13" s="14">
        <f t="shared" si="0"/>
        <v>1.4583333333333332E-2</v>
      </c>
      <c r="F13" s="14">
        <f>+D13/D12-1</f>
        <v>0.26315789473684204</v>
      </c>
      <c r="G13" s="14">
        <f>+E13+F13</f>
        <v>0.27774122807017537</v>
      </c>
    </row>
    <row r="14" spans="1:7" x14ac:dyDescent="0.35">
      <c r="A14" s="29">
        <v>5</v>
      </c>
      <c r="B14" s="16">
        <f>3/10</f>
        <v>0.3</v>
      </c>
      <c r="C14" s="4">
        <f>IF(B14&lt;=0,0,+B14*0.4)</f>
        <v>0.12</v>
      </c>
      <c r="D14" s="4">
        <v>5.2</v>
      </c>
      <c r="E14" s="14">
        <f t="shared" si="0"/>
        <v>2.3076923076923075E-2</v>
      </c>
      <c r="F14" s="14">
        <f>+D14/D13-1</f>
        <v>8.3333333333333481E-2</v>
      </c>
      <c r="G14" s="14">
        <f>+E14+F14</f>
        <v>0.10641025641025656</v>
      </c>
    </row>
    <row r="15" spans="1:7" x14ac:dyDescent="0.35">
      <c r="A15" s="30" t="s">
        <v>91</v>
      </c>
      <c r="B15" s="15">
        <f>-0.5/10</f>
        <v>-0.05</v>
      </c>
      <c r="C15" s="5">
        <f t="shared" ref="C15" si="1">IF(B15&lt;=0,0,+B15*0.4)</f>
        <v>0</v>
      </c>
      <c r="D15" s="5">
        <v>4.2</v>
      </c>
      <c r="E15" s="13">
        <f t="shared" si="0"/>
        <v>0</v>
      </c>
      <c r="F15" s="13">
        <f>+D15/D14-1</f>
        <v>-0.19230769230769229</v>
      </c>
      <c r="G15" s="13">
        <f>+E15+F15</f>
        <v>-0.19230769230769229</v>
      </c>
    </row>
    <row r="16" spans="1:7" x14ac:dyDescent="0.35">
      <c r="A16" t="s">
        <v>21</v>
      </c>
      <c r="D16" s="14">
        <f>(D15/D10)^(1/5)-1</f>
        <v>-3.4269701092489946E-2</v>
      </c>
      <c r="E16" s="20">
        <f>AVERAGE(E10:E15)</f>
        <v>1.5175260126347083E-2</v>
      </c>
      <c r="F16" s="20">
        <f>AVERAGE(F11:F15)</f>
        <v>-1.9945901543155543E-2</v>
      </c>
      <c r="G16" s="20">
        <f>AVERAGE(G11:G15)</f>
        <v>-8.9355893915390398E-3</v>
      </c>
    </row>
    <row r="17" spans="1:7" ht="29" x14ac:dyDescent="0.35">
      <c r="A17" s="10" t="s">
        <v>9</v>
      </c>
      <c r="B17" s="11">
        <f>CORREL(B10:B15,$D$10:$D$15)</f>
        <v>0.92584898137863081</v>
      </c>
      <c r="C17" s="11">
        <f>CORREL(C10:C15,$D$10:$D$15)</f>
        <v>0.86823672130794127</v>
      </c>
    </row>
    <row r="18" spans="1:7" x14ac:dyDescent="0.35">
      <c r="A18" s="3" t="s">
        <v>10</v>
      </c>
      <c r="B18" s="9">
        <f>STDEV(B10:B15)</f>
        <v>0.22159459981386428</v>
      </c>
      <c r="C18" s="9">
        <f t="shared" ref="C18:G18" si="2">STDEV(C10:C15)</f>
        <v>6.9785385289471619E-2</v>
      </c>
      <c r="D18" s="9">
        <f t="shared" si="2"/>
        <v>0.52153619241621452</v>
      </c>
      <c r="E18" s="9">
        <f t="shared" si="2"/>
        <v>1.3870431408678338E-2</v>
      </c>
      <c r="F18" s="9">
        <f t="shared" si="2"/>
        <v>0.19224679599248629</v>
      </c>
      <c r="G18" s="9">
        <f t="shared" si="2"/>
        <v>0.19950686243473109</v>
      </c>
    </row>
    <row r="19" spans="1:7" ht="29" x14ac:dyDescent="0.35">
      <c r="A19" s="21" t="s">
        <v>30</v>
      </c>
      <c r="B19" s="9">
        <f>B18/AVERAGE(B10:B15)</f>
        <v>1.4373703771710116</v>
      </c>
      <c r="C19" s="9">
        <f t="shared" ref="C19:D19" si="3">C18/AVERAGE(C10:C15)</f>
        <v>0.93047180385962158</v>
      </c>
      <c r="D19" s="9">
        <f t="shared" si="3"/>
        <v>0.11337743313395969</v>
      </c>
      <c r="E19" s="9">
        <f t="shared" ref="E19" si="4">E18/AVERAGE(E10:E15)</f>
        <v>0.91401605594863455</v>
      </c>
      <c r="F19" s="9">
        <f t="shared" ref="F19" si="5">F18/AVERAGE(F10:F15)</f>
        <v>-9.6384109575862205</v>
      </c>
      <c r="G19" s="9">
        <f t="shared" ref="G19" si="6">G18/AVERAGE(G10:G15)</f>
        <v>-22.327219133820183</v>
      </c>
    </row>
    <row r="32" spans="1:7" x14ac:dyDescent="0.35">
      <c r="A32" t="s">
        <v>11</v>
      </c>
    </row>
    <row r="33" spans="1:1" x14ac:dyDescent="0.35">
      <c r="A33" t="s">
        <v>12</v>
      </c>
    </row>
    <row r="34" spans="1:1" x14ac:dyDescent="0.35">
      <c r="A34" t="s">
        <v>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A0A95-8FEC-4AA8-ACEB-51813C85709D}">
  <dimension ref="A1:J36"/>
  <sheetViews>
    <sheetView topLeftCell="A16" workbookViewId="0">
      <selection activeCell="F26" sqref="F26"/>
    </sheetView>
  </sheetViews>
  <sheetFormatPr defaultRowHeight="14.5" x14ac:dyDescent="0.35"/>
  <cols>
    <col min="1" max="1" width="16.453125" customWidth="1"/>
  </cols>
  <sheetData>
    <row r="1" spans="1:5" x14ac:dyDescent="0.35">
      <c r="A1" s="1" t="s">
        <v>44</v>
      </c>
    </row>
    <row r="2" spans="1:5" x14ac:dyDescent="0.35">
      <c r="A2" t="s">
        <v>14</v>
      </c>
    </row>
    <row r="3" spans="1:5" x14ac:dyDescent="0.35">
      <c r="A3" t="s">
        <v>15</v>
      </c>
    </row>
    <row r="4" spans="1:5" x14ac:dyDescent="0.35">
      <c r="A4" t="s">
        <v>16</v>
      </c>
    </row>
    <row r="5" spans="1:5" x14ac:dyDescent="0.35">
      <c r="A5" t="s">
        <v>17</v>
      </c>
    </row>
    <row r="7" spans="1:5" x14ac:dyDescent="0.35">
      <c r="A7" t="s">
        <v>24</v>
      </c>
    </row>
    <row r="8" spans="1:5" x14ac:dyDescent="0.35">
      <c r="A8" t="s">
        <v>25</v>
      </c>
    </row>
    <row r="9" spans="1:5" ht="15" thickBot="1" x14ac:dyDescent="0.4"/>
    <row r="10" spans="1:5" ht="44" thickBot="1" x14ac:dyDescent="0.4">
      <c r="A10" s="26" t="s">
        <v>5</v>
      </c>
      <c r="B10" s="27" t="s">
        <v>6</v>
      </c>
      <c r="C10" s="27" t="s">
        <v>22</v>
      </c>
      <c r="D10" s="27" t="s">
        <v>23</v>
      </c>
      <c r="E10" s="28" t="s">
        <v>8</v>
      </c>
    </row>
    <row r="11" spans="1:5" x14ac:dyDescent="0.35">
      <c r="A11" s="30">
        <v>1</v>
      </c>
      <c r="B11" s="15">
        <f>2.85/10</f>
        <v>0.28500000000000003</v>
      </c>
      <c r="C11" s="5">
        <f>1/10</f>
        <v>0.1</v>
      </c>
      <c r="D11" s="13">
        <f>+C11/B11</f>
        <v>0.35087719298245612</v>
      </c>
      <c r="E11" s="5">
        <v>3.5</v>
      </c>
    </row>
    <row r="12" spans="1:5" x14ac:dyDescent="0.35">
      <c r="A12" s="29">
        <v>2</v>
      </c>
      <c r="B12" s="16">
        <v>0.27</v>
      </c>
      <c r="C12" s="4">
        <f t="shared" ref="C12:C19" si="0">1/10</f>
        <v>0.1</v>
      </c>
      <c r="D12" s="14">
        <f t="shared" ref="D12:D22" si="1">+C12/B12</f>
        <v>0.37037037037037035</v>
      </c>
      <c r="E12" s="4">
        <v>3.35</v>
      </c>
    </row>
    <row r="13" spans="1:5" x14ac:dyDescent="0.35">
      <c r="A13" s="29">
        <v>3</v>
      </c>
      <c r="B13" s="16">
        <v>0.05</v>
      </c>
      <c r="C13" s="4">
        <f t="shared" si="0"/>
        <v>0.1</v>
      </c>
      <c r="D13" s="14">
        <f t="shared" si="1"/>
        <v>2</v>
      </c>
      <c r="E13" s="4">
        <v>3.3</v>
      </c>
    </row>
    <row r="14" spans="1:5" x14ac:dyDescent="0.35">
      <c r="A14" s="29">
        <v>4</v>
      </c>
      <c r="B14" s="16">
        <v>7.4999999999999997E-2</v>
      </c>
      <c r="C14" s="4">
        <f t="shared" si="0"/>
        <v>0.1</v>
      </c>
      <c r="D14" s="14">
        <f t="shared" si="1"/>
        <v>1.3333333333333335</v>
      </c>
      <c r="E14" s="4">
        <v>3.3</v>
      </c>
    </row>
    <row r="15" spans="1:5" x14ac:dyDescent="0.35">
      <c r="A15" s="29">
        <v>5</v>
      </c>
      <c r="B15" s="16">
        <v>0.3</v>
      </c>
      <c r="C15" s="4">
        <f t="shared" si="0"/>
        <v>0.1</v>
      </c>
      <c r="D15" s="14">
        <f t="shared" si="1"/>
        <v>0.33333333333333337</v>
      </c>
      <c r="E15" s="4">
        <v>3.6</v>
      </c>
    </row>
    <row r="16" spans="1:5" x14ac:dyDescent="0.35">
      <c r="A16" s="29">
        <v>6</v>
      </c>
      <c r="B16" s="16">
        <v>0.6</v>
      </c>
      <c r="C16" s="4">
        <f t="shared" si="0"/>
        <v>0.1</v>
      </c>
      <c r="D16" s="14">
        <f t="shared" si="1"/>
        <v>0.16666666666666669</v>
      </c>
      <c r="E16" s="4">
        <v>3.8</v>
      </c>
    </row>
    <row r="17" spans="1:5" x14ac:dyDescent="0.35">
      <c r="A17" s="29">
        <v>7</v>
      </c>
      <c r="B17" s="16">
        <v>0.2</v>
      </c>
      <c r="C17" s="4">
        <f t="shared" si="0"/>
        <v>0.1</v>
      </c>
      <c r="D17" s="14">
        <f t="shared" si="1"/>
        <v>0.5</v>
      </c>
      <c r="E17" s="4">
        <v>3.85</v>
      </c>
    </row>
    <row r="18" spans="1:5" x14ac:dyDescent="0.35">
      <c r="A18" s="29">
        <v>8</v>
      </c>
      <c r="B18" s="16">
        <v>0.5</v>
      </c>
      <c r="C18" s="4">
        <f t="shared" si="0"/>
        <v>0.1</v>
      </c>
      <c r="D18" s="14">
        <f t="shared" si="1"/>
        <v>0.2</v>
      </c>
      <c r="E18" s="4">
        <v>4.2</v>
      </c>
    </row>
    <row r="19" spans="1:5" x14ac:dyDescent="0.35">
      <c r="A19" s="29">
        <v>9</v>
      </c>
      <c r="B19" s="16">
        <v>0.42</v>
      </c>
      <c r="C19" s="4">
        <f t="shared" si="0"/>
        <v>0.1</v>
      </c>
      <c r="D19" s="14">
        <f t="shared" si="1"/>
        <v>0.23809523809523811</v>
      </c>
      <c r="E19" s="4">
        <v>4.3</v>
      </c>
    </row>
    <row r="20" spans="1:5" x14ac:dyDescent="0.35">
      <c r="A20" s="29">
        <v>10</v>
      </c>
      <c r="B20" s="16">
        <v>0.46</v>
      </c>
      <c r="C20" s="4">
        <f>1.5/10</f>
        <v>0.15</v>
      </c>
      <c r="D20" s="14">
        <f t="shared" si="1"/>
        <v>0.32608695652173908</v>
      </c>
      <c r="E20" s="4">
        <v>4.5</v>
      </c>
    </row>
    <row r="21" spans="1:5" x14ac:dyDescent="0.35">
      <c r="A21" s="29">
        <v>11</v>
      </c>
      <c r="B21" s="16">
        <v>0.39</v>
      </c>
      <c r="C21" s="4">
        <f t="shared" ref="C21:C22" si="2">1.5/10</f>
        <v>0.15</v>
      </c>
      <c r="D21" s="14">
        <f t="shared" si="1"/>
        <v>0.38461538461538458</v>
      </c>
      <c r="E21" s="4">
        <v>4.6500000000000004</v>
      </c>
    </row>
    <row r="22" spans="1:5" x14ac:dyDescent="0.35">
      <c r="A22" s="29" t="s">
        <v>90</v>
      </c>
      <c r="B22" s="16">
        <v>0.45</v>
      </c>
      <c r="C22" s="4">
        <f t="shared" si="2"/>
        <v>0.15</v>
      </c>
      <c r="D22" s="14">
        <f t="shared" si="1"/>
        <v>0.33333333333333331</v>
      </c>
      <c r="E22" s="4">
        <v>4.75</v>
      </c>
    </row>
    <row r="23" spans="1:5" x14ac:dyDescent="0.35">
      <c r="B23" s="24">
        <f>SUM(B11:B22)</f>
        <v>4</v>
      </c>
      <c r="C23" s="24">
        <f>SUM(C11:C22)</f>
        <v>1.3499999999999996</v>
      </c>
      <c r="D23" s="12">
        <f>+C23/B23</f>
        <v>0.33749999999999991</v>
      </c>
    </row>
    <row r="25" spans="1:5" x14ac:dyDescent="0.35">
      <c r="A25" t="s">
        <v>10</v>
      </c>
      <c r="B25" s="32">
        <f>STDEV(B19:B22)</f>
        <v>3.1622776601683798E-2</v>
      </c>
      <c r="C25" s="32">
        <f t="shared" ref="C25:E25" si="3">STDEV(C19:C22)</f>
        <v>2.4999999999999918E-2</v>
      </c>
      <c r="D25" s="32">
        <f t="shared" si="3"/>
        <v>6.0820039384111166E-2</v>
      </c>
      <c r="E25" s="32">
        <f t="shared" si="3"/>
        <v>0.1957890020745123</v>
      </c>
    </row>
    <row r="26" spans="1:5" ht="29" x14ac:dyDescent="0.35">
      <c r="A26" s="31" t="s">
        <v>9</v>
      </c>
      <c r="B26" s="9">
        <f>CORREL(B11:B22,$E$11:$E$22)</f>
        <v>0.67546765586114588</v>
      </c>
      <c r="C26" s="9">
        <f>CORREL(C11:C22,$E$11:$E$22)</f>
        <v>0.7953657032294903</v>
      </c>
    </row>
    <row r="28" spans="1:5" x14ac:dyDescent="0.35">
      <c r="A28" t="s">
        <v>26</v>
      </c>
    </row>
    <row r="29" spans="1:5" x14ac:dyDescent="0.35">
      <c r="A29" t="s">
        <v>27</v>
      </c>
    </row>
    <row r="30" spans="1:5" x14ac:dyDescent="0.35">
      <c r="A30" t="s">
        <v>28</v>
      </c>
    </row>
    <row r="31" spans="1:5" x14ac:dyDescent="0.35">
      <c r="A31" t="s">
        <v>29</v>
      </c>
    </row>
    <row r="34" spans="1:10" ht="46.5" customHeight="1" x14ac:dyDescent="0.35">
      <c r="A34" s="50" t="s">
        <v>92</v>
      </c>
      <c r="B34" s="50"/>
      <c r="C34" s="50"/>
      <c r="D34" s="50"/>
      <c r="E34" s="50"/>
      <c r="F34" s="50"/>
      <c r="G34" s="50"/>
      <c r="H34" s="50"/>
      <c r="I34" s="51"/>
      <c r="J34" s="51"/>
    </row>
    <row r="36" spans="1:10" ht="51" customHeight="1" x14ac:dyDescent="0.35">
      <c r="A36" s="50" t="s">
        <v>93</v>
      </c>
      <c r="B36" s="50"/>
      <c r="C36" s="50"/>
      <c r="D36" s="50"/>
      <c r="E36" s="50"/>
      <c r="F36" s="50"/>
      <c r="G36" s="50"/>
      <c r="H36" s="50"/>
    </row>
  </sheetData>
  <mergeCells count="2">
    <mergeCell ref="A34:H34"/>
    <mergeCell ref="A36:H3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7FCB1-9C71-4D70-945D-B914C3C87DC9}">
  <dimension ref="A1:I32"/>
  <sheetViews>
    <sheetView topLeftCell="A7" workbookViewId="0">
      <selection activeCell="A19" sqref="A19:A21"/>
    </sheetView>
  </sheetViews>
  <sheetFormatPr defaultRowHeight="14.5" x14ac:dyDescent="0.35"/>
  <cols>
    <col min="1" max="1" width="28.6328125" customWidth="1"/>
    <col min="2" max="5" width="9.6328125" customWidth="1"/>
  </cols>
  <sheetData>
    <row r="1" spans="1:9" x14ac:dyDescent="0.35">
      <c r="A1" s="1" t="s">
        <v>45</v>
      </c>
    </row>
    <row r="2" spans="1:9" x14ac:dyDescent="0.35">
      <c r="A2" t="s">
        <v>31</v>
      </c>
    </row>
    <row r="3" spans="1:9" x14ac:dyDescent="0.35">
      <c r="A3" t="s">
        <v>95</v>
      </c>
    </row>
    <row r="4" spans="1:9" x14ac:dyDescent="0.35">
      <c r="A4" t="s">
        <v>94</v>
      </c>
    </row>
    <row r="6" spans="1:9" x14ac:dyDescent="0.35">
      <c r="A6" t="s">
        <v>88</v>
      </c>
    </row>
    <row r="7" spans="1:9" ht="15" thickBot="1" x14ac:dyDescent="0.4"/>
    <row r="8" spans="1:9" ht="44" thickBot="1" x14ac:dyDescent="0.4">
      <c r="A8" s="26" t="s">
        <v>5</v>
      </c>
      <c r="B8" s="38" t="s">
        <v>32</v>
      </c>
      <c r="C8" s="7" t="s">
        <v>33</v>
      </c>
      <c r="D8" s="39">
        <v>0.25</v>
      </c>
      <c r="E8" s="52" t="s">
        <v>97</v>
      </c>
      <c r="F8" s="7" t="s">
        <v>34</v>
      </c>
      <c r="G8" s="53" t="s">
        <v>98</v>
      </c>
      <c r="H8" s="8" t="s">
        <v>43</v>
      </c>
    </row>
    <row r="9" spans="1:9" x14ac:dyDescent="0.35">
      <c r="A9" s="30">
        <v>1</v>
      </c>
      <c r="B9" s="37">
        <v>1.97</v>
      </c>
      <c r="C9" s="37">
        <v>0.5</v>
      </c>
      <c r="D9" s="37">
        <f>+B9*$D$8</f>
        <v>0.49249999999999999</v>
      </c>
      <c r="E9" s="37">
        <f>+D9-C9</f>
        <v>-7.5000000000000067E-3</v>
      </c>
      <c r="F9" s="37">
        <f t="shared" ref="F9:F10" si="0">IF(D9&lt;C9,0,IF(D9-C9&gt;=0.1,E9,0))</f>
        <v>0</v>
      </c>
      <c r="G9" s="37">
        <f>+F9+C9</f>
        <v>0.5</v>
      </c>
      <c r="H9" s="13">
        <f>G9/B9</f>
        <v>0.25380710659898476</v>
      </c>
      <c r="I9" s="22"/>
    </row>
    <row r="10" spans="1:9" x14ac:dyDescent="0.35">
      <c r="A10" s="29">
        <v>2</v>
      </c>
      <c r="B10" s="36">
        <v>2.15</v>
      </c>
      <c r="C10" s="36">
        <v>0.5</v>
      </c>
      <c r="D10" s="36">
        <f>+B10*$D$8</f>
        <v>0.53749999999999998</v>
      </c>
      <c r="E10" s="37">
        <f>+E9+D10-C10-F9</f>
        <v>3.0000000000000027E-2</v>
      </c>
      <c r="F10" s="37">
        <f t="shared" si="0"/>
        <v>0</v>
      </c>
      <c r="G10" s="37">
        <f t="shared" ref="G10:G14" si="1">+F10+C10</f>
        <v>0.5</v>
      </c>
      <c r="H10" s="13">
        <f t="shared" ref="H10:H14" si="2">G10/B10</f>
        <v>0.23255813953488372</v>
      </c>
    </row>
    <row r="11" spans="1:9" x14ac:dyDescent="0.35">
      <c r="A11" s="29">
        <v>3</v>
      </c>
      <c r="B11" s="36">
        <v>2.8</v>
      </c>
      <c r="C11" s="36">
        <v>0.5</v>
      </c>
      <c r="D11" s="36">
        <f>+B11*$D$8</f>
        <v>0.7</v>
      </c>
      <c r="E11" s="37">
        <f t="shared" ref="E11:E14" si="3">+E10+D11-C11-F10</f>
        <v>0.22999999999999998</v>
      </c>
      <c r="F11" s="37">
        <f>IF(D11&lt;C11,0,IF(D11-C11&gt;=0.1,E11,0))</f>
        <v>0.22999999999999998</v>
      </c>
      <c r="G11" s="37">
        <f t="shared" si="1"/>
        <v>0.73</v>
      </c>
      <c r="H11" s="13">
        <f t="shared" si="2"/>
        <v>0.26071428571428573</v>
      </c>
    </row>
    <row r="12" spans="1:9" x14ac:dyDescent="0.35">
      <c r="A12" s="29">
        <v>4</v>
      </c>
      <c r="B12" s="36">
        <v>2.2000000000000002</v>
      </c>
      <c r="C12" s="36">
        <v>0.5</v>
      </c>
      <c r="D12" s="36">
        <f>+B12*$D$8</f>
        <v>0.55000000000000004</v>
      </c>
      <c r="E12" s="37">
        <f t="shared" si="3"/>
        <v>5.0000000000000044E-2</v>
      </c>
      <c r="F12" s="37">
        <f t="shared" ref="F12:F14" si="4">IF(D12&lt;C12,0,IF(D12-C12&gt;=0.1,E12,0))</f>
        <v>0</v>
      </c>
      <c r="G12" s="37">
        <f t="shared" si="1"/>
        <v>0.5</v>
      </c>
      <c r="H12" s="13">
        <f t="shared" si="2"/>
        <v>0.22727272727272727</v>
      </c>
    </row>
    <row r="13" spans="1:9" x14ac:dyDescent="0.35">
      <c r="A13" s="29">
        <v>5</v>
      </c>
      <c r="B13" s="36">
        <v>2.4</v>
      </c>
      <c r="C13" s="36">
        <v>0.5</v>
      </c>
      <c r="D13" s="36">
        <f>+B13*$D$8</f>
        <v>0.6</v>
      </c>
      <c r="E13" s="37">
        <f t="shared" si="3"/>
        <v>0.15000000000000002</v>
      </c>
      <c r="F13" s="37">
        <f t="shared" si="4"/>
        <v>0.15000000000000002</v>
      </c>
      <c r="G13" s="37">
        <f t="shared" si="1"/>
        <v>0.65</v>
      </c>
      <c r="H13" s="13">
        <f t="shared" si="2"/>
        <v>0.27083333333333337</v>
      </c>
    </row>
    <row r="14" spans="1:9" ht="15" thickBot="1" x14ac:dyDescent="0.4">
      <c r="A14" s="40" t="s">
        <v>96</v>
      </c>
      <c r="B14" s="41">
        <v>3</v>
      </c>
      <c r="C14" s="41">
        <v>0.5</v>
      </c>
      <c r="D14" s="41">
        <f>+B14*$D$8</f>
        <v>0.75</v>
      </c>
      <c r="E14" s="37">
        <f t="shared" si="3"/>
        <v>0.25</v>
      </c>
      <c r="F14" s="37">
        <f t="shared" si="4"/>
        <v>0.25</v>
      </c>
      <c r="G14" s="37">
        <f t="shared" si="1"/>
        <v>0.75</v>
      </c>
      <c r="H14" s="13">
        <f t="shared" si="2"/>
        <v>0.25</v>
      </c>
    </row>
    <row r="15" spans="1:9" ht="15" thickBot="1" x14ac:dyDescent="0.4">
      <c r="A15" s="42" t="s">
        <v>42</v>
      </c>
      <c r="B15" s="43">
        <f>SUM(B9:B14)</f>
        <v>14.520000000000001</v>
      </c>
      <c r="C15" s="43">
        <f t="shared" ref="C15:F15" si="5">SUM(C9:C14)</f>
        <v>3</v>
      </c>
      <c r="D15" s="44"/>
      <c r="E15" s="44"/>
      <c r="F15" s="43">
        <f t="shared" si="5"/>
        <v>0.63</v>
      </c>
      <c r="G15" s="54"/>
      <c r="H15" s="45">
        <f>(C15+F15)/B15</f>
        <v>0.24999999999999997</v>
      </c>
    </row>
    <row r="16" spans="1:9" x14ac:dyDescent="0.35">
      <c r="A16" s="25" t="s">
        <v>35</v>
      </c>
      <c r="F16" s="35">
        <f>(C15+F15)/B15</f>
        <v>0.24999999999999997</v>
      </c>
      <c r="G16" s="35"/>
    </row>
    <row r="19" spans="1:2" x14ac:dyDescent="0.35">
      <c r="A19" t="s">
        <v>38</v>
      </c>
    </row>
    <row r="20" spans="1:2" x14ac:dyDescent="0.35">
      <c r="A20" t="s">
        <v>36</v>
      </c>
    </row>
    <row r="21" spans="1:2" x14ac:dyDescent="0.35">
      <c r="A21" t="s">
        <v>37</v>
      </c>
    </row>
    <row r="22" spans="1:2" x14ac:dyDescent="0.35">
      <c r="A22" t="s">
        <v>39</v>
      </c>
      <c r="B22" s="34">
        <v>2.2000000000000002</v>
      </c>
    </row>
    <row r="23" spans="1:2" x14ac:dyDescent="0.35">
      <c r="A23" t="s">
        <v>40</v>
      </c>
      <c r="B23" s="33">
        <v>0.25</v>
      </c>
    </row>
    <row r="24" spans="1:2" x14ac:dyDescent="0.35">
      <c r="A24" t="s">
        <v>41</v>
      </c>
      <c r="B24" s="34">
        <f>+B22*B23</f>
        <v>0.55000000000000004</v>
      </c>
    </row>
    <row r="26" spans="1:2" x14ac:dyDescent="0.35">
      <c r="A26" s="1" t="s">
        <v>62</v>
      </c>
    </row>
    <row r="27" spans="1:2" x14ac:dyDescent="0.35">
      <c r="A27" s="46" t="s">
        <v>63</v>
      </c>
    </row>
    <row r="28" spans="1:2" x14ac:dyDescent="0.35">
      <c r="A28" s="46" t="s">
        <v>64</v>
      </c>
    </row>
    <row r="29" spans="1:2" x14ac:dyDescent="0.35">
      <c r="A29" s="46" t="s">
        <v>65</v>
      </c>
    </row>
    <row r="30" spans="1:2" x14ac:dyDescent="0.35">
      <c r="A30" s="46" t="s">
        <v>66</v>
      </c>
    </row>
    <row r="31" spans="1:2" x14ac:dyDescent="0.35">
      <c r="A31" s="46" t="s">
        <v>67</v>
      </c>
    </row>
    <row r="32" spans="1:2" x14ac:dyDescent="0.35">
      <c r="A32" s="46"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9238-F25E-47AD-BEAC-87E859A594F9}">
  <dimension ref="A1:D17"/>
  <sheetViews>
    <sheetView workbookViewId="0">
      <selection activeCell="A16" sqref="A16"/>
    </sheetView>
  </sheetViews>
  <sheetFormatPr defaultRowHeight="14.5" x14ac:dyDescent="0.35"/>
  <cols>
    <col min="1" max="1" width="26.36328125" customWidth="1"/>
    <col min="2" max="4" width="9.36328125" bestFit="1" customWidth="1"/>
  </cols>
  <sheetData>
    <row r="1" spans="1:4" x14ac:dyDescent="0.35">
      <c r="A1" s="1" t="s">
        <v>46</v>
      </c>
    </row>
    <row r="2" spans="1:4" x14ac:dyDescent="0.35">
      <c r="A2" t="s">
        <v>99</v>
      </c>
    </row>
    <row r="3" spans="1:4" ht="15" thickBot="1" x14ac:dyDescent="0.4">
      <c r="A3" t="s">
        <v>47</v>
      </c>
    </row>
    <row r="4" spans="1:4" ht="15" thickBot="1" x14ac:dyDescent="0.4">
      <c r="A4" s="56"/>
      <c r="B4" s="57" t="s">
        <v>54</v>
      </c>
      <c r="C4" s="57" t="s">
        <v>55</v>
      </c>
      <c r="D4" s="58" t="s">
        <v>56</v>
      </c>
    </row>
    <row r="5" spans="1:4" x14ac:dyDescent="0.35">
      <c r="A5" s="59" t="s">
        <v>51</v>
      </c>
      <c r="B5" s="55">
        <v>20</v>
      </c>
      <c r="C5" s="55">
        <v>30</v>
      </c>
      <c r="D5" s="60">
        <v>40</v>
      </c>
    </row>
    <row r="6" spans="1:4" x14ac:dyDescent="0.35">
      <c r="A6" s="61" t="s">
        <v>48</v>
      </c>
      <c r="B6" s="3">
        <v>20</v>
      </c>
      <c r="C6" s="3">
        <v>20</v>
      </c>
      <c r="D6" s="62">
        <v>20</v>
      </c>
    </row>
    <row r="7" spans="1:4" ht="15" thickBot="1" x14ac:dyDescent="0.4">
      <c r="A7" s="63" t="s">
        <v>49</v>
      </c>
      <c r="B7" s="64">
        <v>0.4</v>
      </c>
      <c r="C7" s="64">
        <v>0.4</v>
      </c>
      <c r="D7" s="65">
        <v>0.4</v>
      </c>
    </row>
    <row r="9" spans="1:4" x14ac:dyDescent="0.35">
      <c r="A9" t="s">
        <v>57</v>
      </c>
    </row>
    <row r="10" spans="1:4" x14ac:dyDescent="0.35">
      <c r="A10" t="s">
        <v>50</v>
      </c>
      <c r="B10">
        <f>+B7*B5</f>
        <v>8</v>
      </c>
      <c r="C10">
        <f t="shared" ref="C10:D10" si="0">+C7*C5</f>
        <v>12</v>
      </c>
      <c r="D10">
        <f t="shared" si="0"/>
        <v>16</v>
      </c>
    </row>
    <row r="11" spans="1:4" x14ac:dyDescent="0.35">
      <c r="A11" t="s">
        <v>58</v>
      </c>
      <c r="B11">
        <f>+B5-B10</f>
        <v>12</v>
      </c>
      <c r="C11">
        <f t="shared" ref="C11:D11" si="1">+C5-C10</f>
        <v>18</v>
      </c>
      <c r="D11">
        <f t="shared" si="1"/>
        <v>24</v>
      </c>
    </row>
    <row r="12" spans="1:4" x14ac:dyDescent="0.35">
      <c r="A12" t="s">
        <v>52</v>
      </c>
      <c r="B12">
        <f>+B6-B11</f>
        <v>8</v>
      </c>
      <c r="C12">
        <f t="shared" ref="C12:D12" si="2">+C6-C11</f>
        <v>2</v>
      </c>
      <c r="D12">
        <f t="shared" si="2"/>
        <v>-4</v>
      </c>
    </row>
    <row r="13" spans="1:4" x14ac:dyDescent="0.35">
      <c r="A13" t="s">
        <v>59</v>
      </c>
      <c r="B13">
        <f>IF(B12&gt;0,B12,0)</f>
        <v>8</v>
      </c>
      <c r="C13">
        <f>IF(C12&gt;0,C12,0)</f>
        <v>2</v>
      </c>
      <c r="D13">
        <f>IF(D12&gt;0,D12,0)</f>
        <v>0</v>
      </c>
    </row>
    <row r="14" spans="1:4" x14ac:dyDescent="0.35">
      <c r="A14" t="s">
        <v>53</v>
      </c>
      <c r="B14" s="23">
        <f>+B13/B6</f>
        <v>0.4</v>
      </c>
      <c r="C14" s="23">
        <f t="shared" ref="C14:D14" si="3">+C13/C6</f>
        <v>0.1</v>
      </c>
      <c r="D14" s="23">
        <f t="shared" si="3"/>
        <v>0</v>
      </c>
    </row>
    <row r="16" spans="1:4" x14ac:dyDescent="0.35">
      <c r="A16" t="s">
        <v>60</v>
      </c>
    </row>
    <row r="17" spans="1:1" x14ac:dyDescent="0.35">
      <c r="A17"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6522-B3CF-4A7A-8A51-5CB72883962B}">
  <dimension ref="A1:B30"/>
  <sheetViews>
    <sheetView tabSelected="1" topLeftCell="A2" workbookViewId="0">
      <selection activeCell="A12" sqref="A12"/>
    </sheetView>
  </sheetViews>
  <sheetFormatPr defaultRowHeight="14.5" x14ac:dyDescent="0.35"/>
  <cols>
    <col min="1" max="1" width="35.81640625" customWidth="1"/>
    <col min="2" max="2" width="13.453125" bestFit="1" customWidth="1"/>
  </cols>
  <sheetData>
    <row r="1" spans="1:2" x14ac:dyDescent="0.35">
      <c r="A1" s="1" t="s">
        <v>69</v>
      </c>
    </row>
    <row r="3" spans="1:2" x14ac:dyDescent="0.35">
      <c r="A3" t="s">
        <v>70</v>
      </c>
    </row>
    <row r="4" spans="1:2" ht="15" thickBot="1" x14ac:dyDescent="0.4"/>
    <row r="5" spans="1:2" x14ac:dyDescent="0.35">
      <c r="A5" s="66" t="s">
        <v>71</v>
      </c>
      <c r="B5" s="67">
        <v>1000000</v>
      </c>
    </row>
    <row r="6" spans="1:2" x14ac:dyDescent="0.35">
      <c r="A6" s="61" t="s">
        <v>72</v>
      </c>
      <c r="B6" s="68">
        <v>4000000</v>
      </c>
    </row>
    <row r="7" spans="1:2" x14ac:dyDescent="0.35">
      <c r="A7" s="61" t="s">
        <v>6</v>
      </c>
      <c r="B7" s="69">
        <f>+B5/B6</f>
        <v>0.25</v>
      </c>
    </row>
    <row r="8" spans="1:2" ht="15" thickBot="1" x14ac:dyDescent="0.4">
      <c r="A8" s="63" t="s">
        <v>73</v>
      </c>
      <c r="B8" s="70">
        <v>5</v>
      </c>
    </row>
    <row r="10" spans="1:2" x14ac:dyDescent="0.35">
      <c r="A10" t="s">
        <v>74</v>
      </c>
      <c r="B10" s="49">
        <f>+B8/B7</f>
        <v>20</v>
      </c>
    </row>
    <row r="12" spans="1:2" x14ac:dyDescent="0.35">
      <c r="A12" t="s">
        <v>78</v>
      </c>
    </row>
    <row r="14" spans="1:2" x14ac:dyDescent="0.35">
      <c r="A14" s="1" t="s">
        <v>75</v>
      </c>
    </row>
    <row r="15" spans="1:2" x14ac:dyDescent="0.35">
      <c r="A15" t="s">
        <v>76</v>
      </c>
      <c r="B15" s="47">
        <v>800000</v>
      </c>
    </row>
    <row r="16" spans="1:2" x14ac:dyDescent="0.35">
      <c r="A16" s="47" t="s">
        <v>43</v>
      </c>
      <c r="B16" s="12">
        <f>+B15/B5</f>
        <v>0.8</v>
      </c>
    </row>
    <row r="17" spans="1:2" x14ac:dyDescent="0.35">
      <c r="A17" t="s">
        <v>7</v>
      </c>
      <c r="B17" s="22">
        <f>+B15/B6</f>
        <v>0.2</v>
      </c>
    </row>
    <row r="20" spans="1:2" x14ac:dyDescent="0.35">
      <c r="A20" t="s">
        <v>77</v>
      </c>
    </row>
    <row r="21" spans="1:2" x14ac:dyDescent="0.35">
      <c r="A21" t="s">
        <v>79</v>
      </c>
      <c r="B21" s="12">
        <v>0.04</v>
      </c>
    </row>
    <row r="22" spans="1:2" x14ac:dyDescent="0.35">
      <c r="A22" t="s">
        <v>80</v>
      </c>
      <c r="B22" s="22">
        <f>+B8*(1+B21)</f>
        <v>5.2</v>
      </c>
    </row>
    <row r="23" spans="1:2" x14ac:dyDescent="0.35">
      <c r="A23" t="s">
        <v>82</v>
      </c>
      <c r="B23" s="47">
        <f>+B15</f>
        <v>800000</v>
      </c>
    </row>
    <row r="24" spans="1:2" x14ac:dyDescent="0.35">
      <c r="A24" t="s">
        <v>81</v>
      </c>
      <c r="B24" s="48">
        <f>INT(+B23/B22)</f>
        <v>153846</v>
      </c>
    </row>
    <row r="25" spans="1:2" x14ac:dyDescent="0.35">
      <c r="A25" t="s">
        <v>83</v>
      </c>
      <c r="B25" s="48">
        <f>+B6-B24</f>
        <v>3846154</v>
      </c>
    </row>
    <row r="26" spans="1:2" x14ac:dyDescent="0.35">
      <c r="A26" t="s">
        <v>84</v>
      </c>
      <c r="B26" s="24">
        <f>+B5/B25</f>
        <v>0.25999998960000043</v>
      </c>
    </row>
    <row r="27" spans="1:2" x14ac:dyDescent="0.35">
      <c r="A27" t="s">
        <v>85</v>
      </c>
      <c r="B27" s="49">
        <f>+B10</f>
        <v>20</v>
      </c>
    </row>
    <row r="28" spans="1:2" x14ac:dyDescent="0.35">
      <c r="A28" t="s">
        <v>86</v>
      </c>
      <c r="B28" s="22">
        <f>+B27*B26</f>
        <v>5.1999997920000087</v>
      </c>
    </row>
    <row r="29" spans="1:2" x14ac:dyDescent="0.35">
      <c r="B29" s="22"/>
    </row>
    <row r="30" spans="1:2" x14ac:dyDescent="0.35">
      <c r="A30" t="s">
        <v>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BCEE50967BDA45BD9115280A2AEE39" ma:contentTypeVersion="10" ma:contentTypeDescription="Create a new document." ma:contentTypeScope="" ma:versionID="a870198e0bf47334bbc38f37f32e30e3">
  <xsd:schema xmlns:xsd="http://www.w3.org/2001/XMLSchema" xmlns:xs="http://www.w3.org/2001/XMLSchema" xmlns:p="http://schemas.microsoft.com/office/2006/metadata/properties" xmlns:ns3="cc717987-0b32-45f3-8c53-7a73edeea497" targetNamespace="http://schemas.microsoft.com/office/2006/metadata/properties" ma:root="true" ma:fieldsID="c3715dfebd2ca36090439a5f949a6d69" ns3:_="">
    <xsd:import namespace="cc717987-0b32-45f3-8c53-7a73edeea49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17987-0b32-45f3-8c53-7a73edeea49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D9E993-B684-44D8-8D2A-5BED60160419}">
  <ds:schemaRefs>
    <ds:schemaRef ds:uri="http://schemas.microsoft.com/sharepoint/v3/contenttype/forms"/>
  </ds:schemaRefs>
</ds:datastoreItem>
</file>

<file path=customXml/itemProps2.xml><?xml version="1.0" encoding="utf-8"?>
<ds:datastoreItem xmlns:ds="http://schemas.openxmlformats.org/officeDocument/2006/customXml" ds:itemID="{8F741A09-6CF0-41A7-B239-F0BCCBDFE49B}">
  <ds:schemaRefs>
    <ds:schemaRef ds:uri="http://purl.org/dc/terms/"/>
    <ds:schemaRef ds:uri="cc717987-0b32-45f3-8c53-7a73edeea497"/>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15B9C30-C7BE-4F1C-908C-7D5BBDD646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17987-0b32-45f3-8c53-7a73edeea4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Pay-out constant</vt:lpstr>
      <vt:lpstr>Regular dividend</vt:lpstr>
      <vt:lpstr>Regular + Extra</vt:lpstr>
      <vt:lpstr>Residual</vt:lpstr>
      <vt:lpstr>Share Repurchase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2020-12-04T12:34:01Z</dcterms:created>
  <dcterms:modified xsi:type="dcterms:W3CDTF">2020-12-07T00:38:07Z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0x0101006DBCEE50967BDA45BD9115280A2AEE39</vt:lpwstr>
  </property>
</Properties>
</file>